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90" windowWidth="18915" windowHeight="8220" tabRatio="602" activeTab="0"/>
  </bookViews>
  <sheets>
    <sheet name="Quick Reference" sheetId="1" r:id="rId1"/>
    <sheet name="Source" sheetId="2" r:id="rId2"/>
    <sheet name="Sheet1" sheetId="3" r:id="rId3"/>
  </sheets>
  <definedNames>
    <definedName name="_xlnm.Print_Area" localSheetId="0">'Quick Reference'!$A$1:$E$23</definedName>
    <definedName name="Z_89BEEF88_7066_4347_9BE8_D6D784D41D3F_.wvu.PrintArea" localSheetId="0" hidden="1">'Quick Reference'!$A$1:$E$23</definedName>
    <definedName name="Z_F6BD03EC_AAA0_4BCE_979C_832CBC54FEF3_.wvu.PrintArea" localSheetId="0" hidden="1">'Quick Reference'!$A$1:$E$23</definedName>
  </definedNames>
  <calcPr fullCalcOnLoad="1"/>
</workbook>
</file>

<file path=xl/sharedStrings.xml><?xml version="1.0" encoding="utf-8"?>
<sst xmlns="http://schemas.openxmlformats.org/spreadsheetml/2006/main" count="171" uniqueCount="94">
  <si>
    <t>Length (m)</t>
  </si>
  <si>
    <t>Beam Width, b (mm)</t>
  </si>
  <si>
    <t>Over-all depth, D (mm)</t>
  </si>
  <si>
    <t>Tributary
 Area (sq.m)</t>
  </si>
  <si>
    <t>Adjacent Slab 
Thickness (mm)</t>
  </si>
  <si>
    <t>Height of 
Partition above (m)</t>
  </si>
  <si>
    <t>Thickness of 
Partition above (mm)</t>
  </si>
  <si>
    <t>Weight of Ceiling (kg/sq.m)</t>
  </si>
  <si>
    <t>Dead loads (kN)</t>
  </si>
  <si>
    <t>Live Load</t>
  </si>
  <si>
    <t>WDL (kN/m)</t>
  </si>
  <si>
    <t>WLL (kN/m)</t>
  </si>
  <si>
    <t>Wu; 1.4DL + 1.7LL (kN/m)</t>
  </si>
  <si>
    <t>Mu; WuL^2/8 (kN-m)</t>
  </si>
  <si>
    <t>Beam Weight</t>
  </si>
  <si>
    <t>Slab Weight</t>
  </si>
  <si>
    <t>Partition Weight</t>
  </si>
  <si>
    <t>Ceiling Weight</t>
  </si>
  <si>
    <t>Total</t>
  </si>
  <si>
    <t>kg</t>
  </si>
  <si>
    <t>kN/sq.m</t>
  </si>
  <si>
    <t>kN</t>
  </si>
  <si>
    <t>Diameter of Reinf. (mm)</t>
  </si>
  <si>
    <t>Ru; 
Mu/(0.9(bd^2)</t>
  </si>
  <si>
    <t>fy (Mpa)</t>
  </si>
  <si>
    <t>Steel Ratio, ᵖ</t>
  </si>
  <si>
    <t>ᵖmin</t>
  </si>
  <si>
    <t>ᵖmax</t>
  </si>
  <si>
    <t>Assessments</t>
  </si>
  <si>
    <t>As Tension (sq.mm)</t>
  </si>
  <si>
    <t>kg/sq.m</t>
  </si>
  <si>
    <t>a</t>
  </si>
  <si>
    <t>c</t>
  </si>
  <si>
    <t>Effective depth, d (mm)</t>
  </si>
  <si>
    <t>fc' (Mpa)</t>
  </si>
  <si>
    <t>Assessment</t>
  </si>
  <si>
    <t>As1</t>
  </si>
  <si>
    <t>Mu1</t>
  </si>
  <si>
    <t>Mu2</t>
  </si>
  <si>
    <t>As2</t>
  </si>
  <si>
    <t>d'</t>
  </si>
  <si>
    <t>fs</t>
  </si>
  <si>
    <t>As'</t>
  </si>
  <si>
    <t>Diameter</t>
  </si>
  <si>
    <t>Vc</t>
  </si>
  <si>
    <t>Vu</t>
  </si>
  <si>
    <t>ɸVc</t>
  </si>
  <si>
    <t>Vn</t>
  </si>
  <si>
    <t>Vs</t>
  </si>
  <si>
    <t>2/3sqrt(fc')bd</t>
  </si>
  <si>
    <t>Av</t>
  </si>
  <si>
    <t>1/3sqrt(fc')bd</t>
  </si>
  <si>
    <t>S1</t>
  </si>
  <si>
    <t>S2</t>
  </si>
  <si>
    <t>Conc. Cover (mm)</t>
  </si>
  <si>
    <t>NO. OF BARS AT SUPPORT</t>
  </si>
  <si>
    <t>NO. OF BARS AT MIDSPAN</t>
  </si>
  <si>
    <t>Stirrups</t>
  </si>
  <si>
    <t>Top</t>
  </si>
  <si>
    <t>Bottom</t>
  </si>
  <si>
    <t>Then Use S=</t>
  </si>
  <si>
    <t>Simply Supported Beam #</t>
  </si>
  <si>
    <t>Beam Width=</t>
  </si>
  <si>
    <t>Over-all Depth=</t>
  </si>
  <si>
    <t>Adjacent Slab Thickness=</t>
  </si>
  <si>
    <t>Height of Partition=</t>
  </si>
  <si>
    <t>Thickness of Partition=</t>
  </si>
  <si>
    <t>Weight of Ceiling=</t>
  </si>
  <si>
    <t>Live Load=</t>
  </si>
  <si>
    <t>Concrete Cover=</t>
  </si>
  <si>
    <t>Diameter of Reinforcement=</t>
  </si>
  <si>
    <t>fc'=</t>
  </si>
  <si>
    <t>fy=</t>
  </si>
  <si>
    <t>Diameter of Stirrups=</t>
  </si>
  <si>
    <t>mm</t>
  </si>
  <si>
    <t>m</t>
  </si>
  <si>
    <t>Mpa</t>
  </si>
  <si>
    <t>pcs</t>
  </si>
  <si>
    <t>Spacing of Stirrups=</t>
  </si>
  <si>
    <t>Number of Tension Reinforcement=</t>
  </si>
  <si>
    <t>Number of Compression Reinforcement=</t>
  </si>
  <si>
    <t>Tributary Area=</t>
  </si>
  <si>
    <t>Wu=</t>
  </si>
  <si>
    <t>Mu=</t>
  </si>
  <si>
    <t>kN/m</t>
  </si>
  <si>
    <t>kN-m</t>
  </si>
  <si>
    <t>sq.m</t>
  </si>
  <si>
    <t>1. REINFORCED CONCRETE BEAM DESIGN
 (SIMPLY SUPPORTED)</t>
  </si>
  <si>
    <t>Beam Length=</t>
  </si>
  <si>
    <t>Back</t>
  </si>
  <si>
    <t>Compute the ultimate loadings</t>
  </si>
  <si>
    <t>Compute the ultimate shear and moment</t>
  </si>
  <si>
    <t>Assign Beam Dimension</t>
  </si>
  <si>
    <t>www.engineeringcivil.com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</si>
</sst>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5"/>
      <name val="Calibri"/>
      <family val="2"/>
    </font>
    <font>
      <sz val="50"/>
      <color indexed="8"/>
      <name val="Calibri"/>
      <family val="2"/>
    </font>
    <font>
      <b/>
      <sz val="15"/>
      <color indexed="9"/>
      <name val="Calibri"/>
      <family val="2"/>
    </font>
    <font>
      <i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>
        <color indexed="63"/>
      </left>
      <right style="double">
        <color indexed="63"/>
      </right>
      <top style="double">
        <color indexed="63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3" fontId="18" fillId="4" borderId="10" xfId="42" applyFont="1" applyFill="1" applyBorder="1" applyAlignment="1" applyProtection="1">
      <alignment vertical="center" wrapText="1"/>
      <protection/>
    </xf>
    <xf numFmtId="43" fontId="0" fillId="16" borderId="11" xfId="42" applyFont="1" applyFill="1" applyBorder="1" applyAlignment="1" applyProtection="1">
      <alignment horizontal="center" vertical="center" wrapText="1"/>
      <protection/>
    </xf>
    <xf numFmtId="43" fontId="19" fillId="24" borderId="11" xfId="42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25" borderId="0" xfId="0" applyFill="1" applyAlignment="1" applyProtection="1">
      <alignment/>
      <protection locked="0"/>
    </xf>
    <xf numFmtId="43" fontId="16" fillId="0" borderId="0" xfId="42" applyFont="1" applyAlignment="1" applyProtection="1">
      <alignment horizontal="center" vertical="center" wrapText="1"/>
      <protection locked="0"/>
    </xf>
    <xf numFmtId="43" fontId="4" fillId="21" borderId="12" xfId="42" applyFont="1" applyFill="1" applyBorder="1" applyAlignment="1" applyProtection="1">
      <alignment horizontal="center" vertical="center" wrapText="1"/>
      <protection/>
    </xf>
    <xf numFmtId="0" fontId="16" fillId="25" borderId="0" xfId="0" applyFont="1" applyFill="1" applyAlignment="1" applyProtection="1">
      <alignment horizontal="center" vertical="center" wrapText="1"/>
      <protection locked="0"/>
    </xf>
    <xf numFmtId="43" fontId="0" fillId="0" borderId="0" xfId="42" applyFont="1" applyAlignment="1" applyProtection="1">
      <alignment horizontal="center" vertical="center" wrapText="1"/>
      <protection locked="0"/>
    </xf>
    <xf numFmtId="43" fontId="16" fillId="2" borderId="0" xfId="42" applyFont="1" applyFill="1" applyAlignment="1" applyProtection="1">
      <alignment horizontal="center" vertical="center" wrapText="1"/>
      <protection/>
    </xf>
    <xf numFmtId="43" fontId="16" fillId="25" borderId="0" xfId="42" applyFont="1" applyFill="1" applyAlignment="1" applyProtection="1">
      <alignment horizontal="center" vertical="center" wrapText="1"/>
      <protection locked="0"/>
    </xf>
    <xf numFmtId="0" fontId="10" fillId="0" borderId="0" xfId="52" applyAlignment="1" applyProtection="1">
      <alignment/>
      <protection/>
    </xf>
    <xf numFmtId="43" fontId="16" fillId="0" borderId="0" xfId="42" applyFont="1" applyFill="1" applyAlignment="1" applyProtection="1">
      <alignment horizontal="center" vertical="center" wrapText="1"/>
      <protection locked="0"/>
    </xf>
    <xf numFmtId="43" fontId="20" fillId="24" borderId="12" xfId="42" applyFont="1" applyFill="1" applyBorder="1" applyAlignment="1" applyProtection="1">
      <alignment horizontal="center" vertical="center" wrapText="1"/>
      <protection/>
    </xf>
    <xf numFmtId="43" fontId="18" fillId="4" borderId="10" xfId="42" applyFont="1" applyFill="1" applyBorder="1" applyAlignment="1" applyProtection="1">
      <alignment horizontal="center" vertical="center" wrapText="1"/>
      <protection/>
    </xf>
    <xf numFmtId="43" fontId="20" fillId="24" borderId="12" xfId="42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43" fontId="4" fillId="26" borderId="0" xfId="42" applyFont="1" applyFill="1" applyBorder="1" applyAlignment="1" applyProtection="1">
      <alignment horizontal="center" vertical="center" wrapText="1"/>
      <protection hidden="1"/>
    </xf>
    <xf numFmtId="43" fontId="0" fillId="0" borderId="0" xfId="42" applyFont="1" applyAlignment="1" applyProtection="1">
      <alignment wrapText="1"/>
      <protection hidden="1"/>
    </xf>
    <xf numFmtId="43" fontId="4" fillId="26" borderId="0" xfId="42" applyFont="1" applyFill="1" applyBorder="1" applyAlignment="1" applyProtection="1">
      <alignment vertical="center" wrapText="1"/>
      <protection hidden="1"/>
    </xf>
    <xf numFmtId="43" fontId="22" fillId="26" borderId="0" xfId="42" applyFont="1" applyFill="1" applyBorder="1" applyAlignment="1" applyProtection="1">
      <alignment horizontal="center" vertical="center" wrapText="1"/>
      <protection hidden="1"/>
    </xf>
    <xf numFmtId="43" fontId="1" fillId="26" borderId="0" xfId="42" applyFont="1" applyFill="1" applyBorder="1" applyAlignment="1" applyProtection="1">
      <alignment horizontal="center" vertical="center" wrapText="1"/>
      <protection hidden="1"/>
    </xf>
    <xf numFmtId="43" fontId="0" fillId="0" borderId="0" xfId="42" applyFont="1" applyAlignment="1" applyProtection="1">
      <alignment/>
      <protection hidden="1"/>
    </xf>
    <xf numFmtId="0" fontId="21" fillId="26" borderId="0" xfId="0" applyFont="1" applyFill="1" applyAlignment="1" applyProtection="1">
      <alignment horizontal="center" vertical="center" textRotation="180" wrapText="1"/>
      <protection locked="0"/>
    </xf>
    <xf numFmtId="0" fontId="16" fillId="0" borderId="0" xfId="0" applyFont="1" applyAlignment="1" applyProtection="1">
      <alignment horizontal="center" vertical="center" wrapText="1"/>
      <protection/>
    </xf>
    <xf numFmtId="43" fontId="4" fillId="26" borderId="0" xfId="42" applyFont="1" applyFill="1" applyBorder="1" applyAlignment="1" applyProtection="1">
      <alignment horizontal="center" vertical="center" wrapText="1"/>
      <protection hidden="1"/>
    </xf>
    <xf numFmtId="43" fontId="18" fillId="4" borderId="13" xfId="42" applyFont="1" applyFill="1" applyBorder="1" applyAlignment="1" applyProtection="1">
      <alignment horizontal="center" vertical="center" wrapText="1"/>
      <protection/>
    </xf>
    <xf numFmtId="43" fontId="18" fillId="4" borderId="14" xfId="42" applyFont="1" applyFill="1" applyBorder="1" applyAlignment="1" applyProtection="1">
      <alignment horizontal="center" vertical="center" wrapText="1"/>
      <protection/>
    </xf>
    <xf numFmtId="43" fontId="18" fillId="4" borderId="15" xfId="42" applyFont="1" applyFill="1" applyBorder="1" applyAlignment="1" applyProtection="1">
      <alignment horizontal="center" vertical="center" wrapText="1"/>
      <protection/>
    </xf>
    <xf numFmtId="43" fontId="18" fillId="4" borderId="11" xfId="42" applyFont="1" applyFill="1" applyBorder="1" applyAlignment="1" applyProtection="1">
      <alignment horizontal="center" vertical="center" wrapText="1"/>
      <protection/>
    </xf>
    <xf numFmtId="43" fontId="18" fillId="4" borderId="16" xfId="42" applyFont="1" applyFill="1" applyBorder="1" applyAlignment="1" applyProtection="1">
      <alignment horizontal="center" vertical="center" wrapText="1"/>
      <protection/>
    </xf>
    <xf numFmtId="43" fontId="18" fillId="4" borderId="10" xfId="42" applyFont="1" applyFill="1" applyBorder="1" applyAlignment="1" applyProtection="1">
      <alignment horizontal="center" vertical="center" wrapText="1"/>
      <protection/>
    </xf>
    <xf numFmtId="43" fontId="18" fillId="4" borderId="17" xfId="42" applyFont="1" applyFill="1" applyBorder="1" applyAlignment="1" applyProtection="1">
      <alignment horizontal="center" vertical="center" wrapText="1"/>
      <protection/>
    </xf>
    <xf numFmtId="43" fontId="18" fillId="4" borderId="18" xfId="42" applyFont="1" applyFill="1" applyBorder="1" applyAlignment="1" applyProtection="1">
      <alignment horizontal="center" vertical="center" wrapText="1"/>
      <protection/>
    </xf>
    <xf numFmtId="43" fontId="18" fillId="4" borderId="19" xfId="42" applyFont="1" applyFill="1" applyBorder="1" applyAlignment="1" applyProtection="1">
      <alignment horizontal="center" vertical="center" wrapText="1"/>
      <protection/>
    </xf>
    <xf numFmtId="43" fontId="18" fillId="4" borderId="20" xfId="42" applyFont="1" applyFill="1" applyBorder="1" applyAlignment="1" applyProtection="1">
      <alignment horizontal="center" vertical="center" wrapText="1"/>
      <protection/>
    </xf>
    <xf numFmtId="43" fontId="18" fillId="4" borderId="10" xfId="42" applyFont="1" applyFill="1" applyBorder="1" applyAlignment="1" applyProtection="1">
      <alignment vertical="center" wrapText="1"/>
      <protection/>
    </xf>
    <xf numFmtId="0" fontId="2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115" zoomScaleNormal="115" zoomScaleSheetLayoutView="115" zoomScalePageLayoutView="85" workbookViewId="0" topLeftCell="A7">
      <selection activeCell="A27" sqref="A27"/>
    </sheetView>
  </sheetViews>
  <sheetFormatPr defaultColWidth="9.140625" defaultRowHeight="15"/>
  <cols>
    <col min="1" max="1" width="39.28125" style="5" bestFit="1" customWidth="1"/>
    <col min="2" max="2" width="16.28125" style="8" customWidth="1"/>
    <col min="3" max="3" width="8.7109375" style="5" bestFit="1" customWidth="1"/>
    <col min="4" max="4" width="3.421875" style="7" customWidth="1"/>
    <col min="5" max="5" width="12.28125" style="7" customWidth="1"/>
    <col min="6" max="6" width="9.421875" style="7" bestFit="1" customWidth="1"/>
    <col min="7" max="7" width="13.57421875" style="7" bestFit="1" customWidth="1"/>
    <col min="8" max="8" width="10.00390625" style="7" bestFit="1" customWidth="1"/>
    <col min="9" max="9" width="12.28125" style="7" bestFit="1" customWidth="1"/>
    <col min="10" max="10" width="9.57421875" style="7" bestFit="1" customWidth="1"/>
    <col min="11" max="12" width="7.57421875" style="7" bestFit="1" customWidth="1"/>
    <col min="13" max="13" width="9.140625" style="7" customWidth="1"/>
    <col min="14" max="14" width="7.57421875" style="7" bestFit="1" customWidth="1"/>
    <col min="15" max="15" width="6.421875" style="7" bestFit="1" customWidth="1"/>
    <col min="16" max="16" width="7.421875" style="7" bestFit="1" customWidth="1"/>
    <col min="17" max="17" width="9.00390625" style="7" bestFit="1" customWidth="1"/>
    <col min="18" max="18" width="5.421875" style="7" bestFit="1" customWidth="1"/>
    <col min="19" max="20" width="7.421875" style="7" bestFit="1" customWidth="1"/>
    <col min="21" max="21" width="10.28125" style="7" bestFit="1" customWidth="1"/>
    <col min="22" max="22" width="8.8515625" style="7" bestFit="1" customWidth="1"/>
    <col min="23" max="23" width="6.421875" style="7" bestFit="1" customWidth="1"/>
    <col min="24" max="24" width="9.7109375" style="7" bestFit="1" customWidth="1"/>
    <col min="25" max="25" width="9.28125" style="7" bestFit="1" customWidth="1"/>
    <col min="26" max="26" width="8.8515625" style="7" bestFit="1" customWidth="1"/>
    <col min="27" max="27" width="6.421875" style="7" bestFit="1" customWidth="1"/>
    <col min="28" max="28" width="9.00390625" style="7" bestFit="1" customWidth="1"/>
    <col min="29" max="29" width="7.421875" style="7" bestFit="1" customWidth="1"/>
    <col min="30" max="30" width="5.7109375" style="7" bestFit="1" customWidth="1"/>
    <col min="31" max="31" width="6.00390625" style="7" bestFit="1" customWidth="1"/>
    <col min="32" max="32" width="8.8515625" style="7" bestFit="1" customWidth="1"/>
    <col min="33" max="33" width="9.140625" style="7" customWidth="1"/>
    <col min="34" max="34" width="7.421875" style="7" bestFit="1" customWidth="1"/>
    <col min="35" max="36" width="6.421875" style="7" bestFit="1" customWidth="1"/>
    <col min="37" max="38" width="5.421875" style="7" bestFit="1" customWidth="1"/>
    <col min="39" max="40" width="6.421875" style="7" bestFit="1" customWidth="1"/>
    <col min="41" max="41" width="7.421875" style="7" bestFit="1" customWidth="1"/>
    <col min="42" max="42" width="5.421875" style="7" bestFit="1" customWidth="1"/>
    <col min="43" max="43" width="8.421875" style="7" bestFit="1" customWidth="1"/>
    <col min="44" max="44" width="7.7109375" style="7" bestFit="1" customWidth="1"/>
    <col min="45" max="45" width="8.00390625" style="7" bestFit="1" customWidth="1"/>
    <col min="46" max="46" width="7.7109375" style="7" bestFit="1" customWidth="1"/>
    <col min="47" max="47" width="8.00390625" style="7" bestFit="1" customWidth="1"/>
    <col min="48" max="48" width="8.57421875" style="7" bestFit="1" customWidth="1"/>
    <col min="49" max="52" width="6.421875" style="7" bestFit="1" customWidth="1"/>
    <col min="53" max="53" width="5.421875" style="7" bestFit="1" customWidth="1"/>
    <col min="54" max="55" width="8.7109375" style="7" bestFit="1" customWidth="1"/>
    <col min="56" max="56" width="7.421875" style="7" bestFit="1" customWidth="1"/>
    <col min="57" max="57" width="8.7109375" style="7" bestFit="1" customWidth="1"/>
    <col min="58" max="58" width="7.421875" style="7" bestFit="1" customWidth="1"/>
    <col min="59" max="59" width="6.421875" style="7" bestFit="1" customWidth="1"/>
    <col min="60" max="16384" width="9.140625" style="7" customWidth="1"/>
  </cols>
  <sheetData>
    <row r="1" spans="1:5" ht="32.25" customHeight="1">
      <c r="A1" s="27" t="s">
        <v>87</v>
      </c>
      <c r="B1" s="27"/>
      <c r="C1" s="27"/>
      <c r="D1" s="10"/>
      <c r="E1" s="26"/>
    </row>
    <row r="2" spans="1:5" ht="15">
      <c r="A2" s="1"/>
      <c r="B2" s="11"/>
      <c r="E2" s="26"/>
    </row>
    <row r="3" spans="1:5" ht="15">
      <c r="A3" s="6" t="s">
        <v>88</v>
      </c>
      <c r="B3" s="8">
        <v>5.2</v>
      </c>
      <c r="C3" s="1" t="s">
        <v>75</v>
      </c>
      <c r="E3" s="26"/>
    </row>
    <row r="4" spans="1:5" ht="15">
      <c r="A4" s="6" t="s">
        <v>62</v>
      </c>
      <c r="B4" s="8">
        <v>240</v>
      </c>
      <c r="C4" s="1" t="s">
        <v>74</v>
      </c>
      <c r="E4" s="26"/>
    </row>
    <row r="5" spans="1:5" ht="15">
      <c r="A5" s="6" t="s">
        <v>63</v>
      </c>
      <c r="B5" s="8">
        <v>300</v>
      </c>
      <c r="C5" s="1" t="s">
        <v>74</v>
      </c>
      <c r="E5" s="26"/>
    </row>
    <row r="6" spans="1:5" ht="15">
      <c r="A6" s="6" t="s">
        <v>81</v>
      </c>
      <c r="C6" s="1" t="s">
        <v>86</v>
      </c>
      <c r="E6" s="26"/>
    </row>
    <row r="7" spans="1:5" ht="15">
      <c r="A7" s="6" t="s">
        <v>64</v>
      </c>
      <c r="B7" s="8">
        <v>240</v>
      </c>
      <c r="C7" s="1" t="s">
        <v>74</v>
      </c>
      <c r="E7" s="26"/>
    </row>
    <row r="8" spans="1:5" ht="15">
      <c r="A8" s="6" t="s">
        <v>65</v>
      </c>
      <c r="B8" s="8">
        <v>3</v>
      </c>
      <c r="C8" s="1" t="s">
        <v>75</v>
      </c>
      <c r="E8" s="26"/>
    </row>
    <row r="9" spans="1:5" ht="15">
      <c r="A9" s="6" t="s">
        <v>66</v>
      </c>
      <c r="B9" s="8">
        <v>0</v>
      </c>
      <c r="C9" s="1" t="s">
        <v>74</v>
      </c>
      <c r="E9" s="26"/>
    </row>
    <row r="10" spans="1:5" ht="15">
      <c r="A10" s="6" t="s">
        <v>67</v>
      </c>
      <c r="C10" s="1" t="s">
        <v>30</v>
      </c>
      <c r="E10" s="26"/>
    </row>
    <row r="11" spans="1:5" ht="15">
      <c r="A11" s="6" t="s">
        <v>68</v>
      </c>
      <c r="C11" s="1" t="s">
        <v>30</v>
      </c>
      <c r="E11" s="26"/>
    </row>
    <row r="12" spans="1:5" ht="15">
      <c r="A12" s="6" t="s">
        <v>82</v>
      </c>
      <c r="B12" s="12">
        <f>Source!T3</f>
        <v>2.6649000000000003</v>
      </c>
      <c r="C12" s="1" t="s">
        <v>84</v>
      </c>
      <c r="E12" s="26"/>
    </row>
    <row r="13" spans="1:5" ht="15">
      <c r="A13" s="6" t="s">
        <v>83</v>
      </c>
      <c r="B13" s="12">
        <f>Source!U3</f>
        <v>9.007362000000002</v>
      </c>
      <c r="C13" s="1" t="s">
        <v>85</v>
      </c>
      <c r="E13" s="26"/>
    </row>
    <row r="14" spans="1:5" ht="15">
      <c r="A14" s="6" t="s">
        <v>69</v>
      </c>
      <c r="B14" s="8">
        <v>40</v>
      </c>
      <c r="C14" s="1" t="s">
        <v>74</v>
      </c>
      <c r="E14" s="26"/>
    </row>
    <row r="15" spans="1:5" ht="15">
      <c r="A15" s="6" t="s">
        <v>70</v>
      </c>
      <c r="B15" s="8">
        <v>14</v>
      </c>
      <c r="C15" s="1" t="s">
        <v>74</v>
      </c>
      <c r="E15" s="26"/>
    </row>
    <row r="16" spans="1:5" ht="15">
      <c r="A16" s="6" t="s">
        <v>71</v>
      </c>
      <c r="B16" s="8">
        <v>17.24</v>
      </c>
      <c r="C16" s="1" t="s">
        <v>76</v>
      </c>
      <c r="E16" s="26"/>
    </row>
    <row r="17" spans="1:5" ht="15">
      <c r="A17" s="6" t="s">
        <v>72</v>
      </c>
      <c r="B17" s="8">
        <v>275</v>
      </c>
      <c r="C17" s="1" t="s">
        <v>76</v>
      </c>
      <c r="E17" s="26"/>
    </row>
    <row r="18" spans="1:5" ht="15">
      <c r="A18" s="6" t="s">
        <v>73</v>
      </c>
      <c r="B18" s="8">
        <v>10</v>
      </c>
      <c r="C18" s="1" t="s">
        <v>74</v>
      </c>
      <c r="E18" s="26"/>
    </row>
    <row r="19" spans="1:5" ht="15">
      <c r="A19" s="6" t="s">
        <v>79</v>
      </c>
      <c r="B19" s="12">
        <f>Source!AQ3</f>
        <v>3</v>
      </c>
      <c r="C19" s="1" t="s">
        <v>77</v>
      </c>
      <c r="E19" s="26"/>
    </row>
    <row r="20" spans="1:5" ht="15">
      <c r="A20" s="6" t="s">
        <v>80</v>
      </c>
      <c r="B20" s="12">
        <f>Source!AR3</f>
        <v>2</v>
      </c>
      <c r="C20" s="1" t="s">
        <v>77</v>
      </c>
      <c r="E20" s="26"/>
    </row>
    <row r="21" spans="1:5" ht="15">
      <c r="A21" s="6" t="s">
        <v>78</v>
      </c>
      <c r="B21" s="12">
        <f>Source!BG3</f>
        <v>126.5</v>
      </c>
      <c r="C21" s="1" t="s">
        <v>74</v>
      </c>
      <c r="E21" s="26"/>
    </row>
    <row r="22" spans="1:5" ht="15">
      <c r="A22" s="6"/>
      <c r="B22" s="15"/>
      <c r="C22" s="14" t="s">
        <v>89</v>
      </c>
      <c r="E22" s="26"/>
    </row>
    <row r="23" spans="1:5" ht="15">
      <c r="A23" s="7"/>
      <c r="B23" s="13"/>
      <c r="C23" s="7"/>
      <c r="E23" s="26"/>
    </row>
    <row r="24" ht="15">
      <c r="A24" s="5" t="s">
        <v>93</v>
      </c>
    </row>
  </sheetData>
  <sheetProtection sheet="1" objects="1" scenarios="1"/>
  <mergeCells count="2">
    <mergeCell ref="E1:E23"/>
    <mergeCell ref="A1:C1"/>
  </mergeCells>
  <hyperlinks>
    <hyperlink ref="C22" location="Contents!A1" display="Contents!A1"/>
  </hyperlinks>
  <printOptions horizontalCentered="1" verticalCentered="1"/>
  <pageMargins left="0.7" right="0.7" top="0.75" bottom="0.75" header="0.3" footer="0.3"/>
  <pageSetup fitToHeight="2000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3"/>
  <sheetViews>
    <sheetView zoomScalePageLayoutView="0" workbookViewId="0" topLeftCell="K1">
      <selection activeCell="N15" sqref="N15"/>
    </sheetView>
  </sheetViews>
  <sheetFormatPr defaultColWidth="15.57421875" defaultRowHeight="15"/>
  <cols>
    <col min="1" max="16384" width="15.57421875" style="25" customWidth="1"/>
  </cols>
  <sheetData>
    <row r="1" spans="1:59" s="21" customFormat="1" ht="15">
      <c r="A1" s="28" t="s">
        <v>61</v>
      </c>
      <c r="B1" s="28" t="s">
        <v>0</v>
      </c>
      <c r="C1" s="28" t="s">
        <v>1</v>
      </c>
      <c r="D1" s="28" t="s">
        <v>2</v>
      </c>
      <c r="E1" s="28" t="s">
        <v>3</v>
      </c>
      <c r="F1" s="28" t="s">
        <v>4</v>
      </c>
      <c r="G1" s="28" t="s">
        <v>5</v>
      </c>
      <c r="H1" s="28" t="s">
        <v>6</v>
      </c>
      <c r="I1" s="28" t="s">
        <v>7</v>
      </c>
      <c r="J1" s="28" t="s">
        <v>8</v>
      </c>
      <c r="K1" s="28"/>
      <c r="L1" s="28"/>
      <c r="M1" s="28"/>
      <c r="N1" s="28"/>
      <c r="O1" s="28" t="s">
        <v>9</v>
      </c>
      <c r="P1" s="28"/>
      <c r="Q1" s="28"/>
      <c r="R1" s="28" t="s">
        <v>10</v>
      </c>
      <c r="S1" s="28" t="s">
        <v>11</v>
      </c>
      <c r="T1" s="28" t="s">
        <v>12</v>
      </c>
      <c r="U1" s="28" t="s">
        <v>13</v>
      </c>
      <c r="V1" s="28" t="s">
        <v>54</v>
      </c>
      <c r="W1" s="28" t="s">
        <v>22</v>
      </c>
      <c r="X1" s="28" t="s">
        <v>33</v>
      </c>
      <c r="Y1" s="28" t="s">
        <v>23</v>
      </c>
      <c r="Z1" s="28" t="s">
        <v>34</v>
      </c>
      <c r="AA1" s="28" t="s">
        <v>24</v>
      </c>
      <c r="AB1" s="28" t="s">
        <v>25</v>
      </c>
      <c r="AC1" s="28" t="s">
        <v>26</v>
      </c>
      <c r="AD1" s="28" t="s">
        <v>27</v>
      </c>
      <c r="AE1" s="28" t="s">
        <v>28</v>
      </c>
      <c r="AF1" s="28"/>
      <c r="AG1" s="28" t="s">
        <v>36</v>
      </c>
      <c r="AH1" s="28" t="s">
        <v>31</v>
      </c>
      <c r="AI1" s="28" t="s">
        <v>37</v>
      </c>
      <c r="AJ1" s="28" t="s">
        <v>38</v>
      </c>
      <c r="AK1" s="28" t="s">
        <v>39</v>
      </c>
      <c r="AL1" s="28" t="s">
        <v>32</v>
      </c>
      <c r="AM1" s="28" t="s">
        <v>40</v>
      </c>
      <c r="AN1" s="28" t="s">
        <v>41</v>
      </c>
      <c r="AO1" s="28" t="s">
        <v>42</v>
      </c>
      <c r="AP1" s="28" t="s">
        <v>29</v>
      </c>
      <c r="AQ1" s="28" t="s">
        <v>55</v>
      </c>
      <c r="AR1" s="28"/>
      <c r="AS1" s="28" t="s">
        <v>56</v>
      </c>
      <c r="AT1" s="28"/>
      <c r="AU1" s="28" t="s">
        <v>57</v>
      </c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</row>
    <row r="2" spans="1:59" s="21" customFormat="1" ht="30">
      <c r="A2" s="28"/>
      <c r="B2" s="28"/>
      <c r="C2" s="28"/>
      <c r="D2" s="28"/>
      <c r="E2" s="28"/>
      <c r="F2" s="28"/>
      <c r="G2" s="28"/>
      <c r="H2" s="28"/>
      <c r="I2" s="28"/>
      <c r="J2" s="20" t="s">
        <v>14</v>
      </c>
      <c r="K2" s="20" t="s">
        <v>15</v>
      </c>
      <c r="L2" s="20" t="s">
        <v>16</v>
      </c>
      <c r="M2" s="20" t="s">
        <v>17</v>
      </c>
      <c r="N2" s="20" t="s">
        <v>18</v>
      </c>
      <c r="O2" s="20" t="s">
        <v>19</v>
      </c>
      <c r="P2" s="20" t="s">
        <v>20</v>
      </c>
      <c r="Q2" s="20" t="s">
        <v>21</v>
      </c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0" t="s">
        <v>58</v>
      </c>
      <c r="AR2" s="20" t="s">
        <v>59</v>
      </c>
      <c r="AS2" s="20" t="s">
        <v>58</v>
      </c>
      <c r="AT2" s="20" t="s">
        <v>59</v>
      </c>
      <c r="AU2" s="22" t="s">
        <v>43</v>
      </c>
      <c r="AV2" s="20" t="s">
        <v>44</v>
      </c>
      <c r="AW2" s="20" t="s">
        <v>45</v>
      </c>
      <c r="AX2" s="20" t="s">
        <v>46</v>
      </c>
      <c r="AY2" s="20" t="s">
        <v>47</v>
      </c>
      <c r="AZ2" s="20" t="s">
        <v>48</v>
      </c>
      <c r="BA2" s="20" t="s">
        <v>49</v>
      </c>
      <c r="BB2" s="20" t="s">
        <v>35</v>
      </c>
      <c r="BC2" s="20" t="s">
        <v>50</v>
      </c>
      <c r="BD2" s="20" t="s">
        <v>51</v>
      </c>
      <c r="BE2" s="20" t="s">
        <v>52</v>
      </c>
      <c r="BF2" s="20" t="s">
        <v>53</v>
      </c>
      <c r="BG2" s="20" t="s">
        <v>60</v>
      </c>
    </row>
    <row r="3" spans="1:59" s="21" customFormat="1" ht="30">
      <c r="A3" s="23">
        <v>1</v>
      </c>
      <c r="B3" s="20">
        <f>'Quick Reference'!B3</f>
        <v>5.2</v>
      </c>
      <c r="C3" s="23">
        <f>'Quick Reference'!B4</f>
        <v>240</v>
      </c>
      <c r="D3" s="23">
        <f>'Quick Reference'!B5</f>
        <v>300</v>
      </c>
      <c r="E3" s="20">
        <f>'Quick Reference'!B6</f>
        <v>0</v>
      </c>
      <c r="F3" s="20">
        <f>'Quick Reference'!B7</f>
        <v>240</v>
      </c>
      <c r="G3" s="20">
        <f>'Quick Reference'!B8</f>
        <v>3</v>
      </c>
      <c r="H3" s="20">
        <f>'Quick Reference'!B8</f>
        <v>3</v>
      </c>
      <c r="I3" s="20">
        <f>'Quick Reference'!B10</f>
        <v>0</v>
      </c>
      <c r="J3" s="24">
        <f>23.5*C3*D3*B3/1000^2</f>
        <v>8.7984</v>
      </c>
      <c r="K3" s="24">
        <f>23.5*E3*F3/1000</f>
        <v>0</v>
      </c>
      <c r="L3" s="24">
        <f>H3/1000*G3*B3*23.5</f>
        <v>1.0998</v>
      </c>
      <c r="M3" s="24">
        <f>I3*9.81/1000</f>
        <v>0</v>
      </c>
      <c r="N3" s="24">
        <f>SUM(J3:M3)</f>
        <v>9.898200000000001</v>
      </c>
      <c r="O3" s="20">
        <f>'Quick Reference'!B11</f>
        <v>0</v>
      </c>
      <c r="P3" s="24">
        <f>O3*9.81/1000</f>
        <v>0</v>
      </c>
      <c r="Q3" s="24">
        <f>P3*E3</f>
        <v>0</v>
      </c>
      <c r="R3" s="24">
        <f>N3/B3</f>
        <v>1.9035000000000002</v>
      </c>
      <c r="S3" s="24">
        <f>Q3/B3</f>
        <v>0</v>
      </c>
      <c r="T3" s="24">
        <f>1.4*R3+1.7*S3</f>
        <v>2.6649000000000003</v>
      </c>
      <c r="U3" s="24">
        <f>T3*B3^2/8</f>
        <v>9.007362000000002</v>
      </c>
      <c r="V3" s="20">
        <f>'Quick Reference'!B14</f>
        <v>40</v>
      </c>
      <c r="W3" s="20">
        <f>'Quick Reference'!B15</f>
        <v>14</v>
      </c>
      <c r="X3" s="24">
        <f>D3-V3-W3/2</f>
        <v>253</v>
      </c>
      <c r="Y3" s="24">
        <f>U3/(0.9*X3^2*C3)*1000*1000</f>
        <v>0.6514826040088114</v>
      </c>
      <c r="Z3" s="20">
        <f>'Quick Reference'!B16</f>
        <v>17.24</v>
      </c>
      <c r="AA3" s="20">
        <f>'Quick Reference'!B17</f>
        <v>275</v>
      </c>
      <c r="AB3" s="24">
        <f>0.85*Z3/AA3*((1-SQRT(1-(2*Y3/(0.85*Z3)))))</f>
        <v>0.0024241683229754736</v>
      </c>
      <c r="AC3" s="24">
        <f>1.4/AA3</f>
        <v>0.00509090909090909</v>
      </c>
      <c r="AD3" s="24">
        <f>0.85*Z3*0.85*600/(AA3*(600+AA3))*0.75</f>
        <v>0.023294150649350646</v>
      </c>
      <c r="AE3" s="24" t="str">
        <f>IF(AB3&lt;AC3,"use min","use computed steel ratio")</f>
        <v>use min</v>
      </c>
      <c r="AF3" s="24" t="str">
        <f>IF(AB3&gt;AD3,"doubly reinforced","singly reinforced")</f>
        <v>singly reinforced</v>
      </c>
      <c r="AG3" s="24">
        <f>AD3*C3*X3</f>
        <v>1414.4208274285713</v>
      </c>
      <c r="AH3" s="24">
        <f>AG3*AA3/(C3*0.85*Z3)</f>
        <v>110.59714285714286</v>
      </c>
      <c r="AI3" s="24">
        <f>0.9*AG3*AA3*(X3-AH3/2)/1000/1000</f>
        <v>69.20917200049313</v>
      </c>
      <c r="AJ3" s="24">
        <f>U3-AI3</f>
        <v>-60.201810000493126</v>
      </c>
      <c r="AK3" s="24">
        <f>AJ3/(0.85*AA3*(X3-(V3+0.5*W3)))*1000*1000</f>
        <v>-1250.2322828615986</v>
      </c>
      <c r="AL3" s="24">
        <f>AH3/0.85</f>
        <v>130.11428571428573</v>
      </c>
      <c r="AM3" s="24">
        <f>V3+0.5*W3</f>
        <v>47</v>
      </c>
      <c r="AN3" s="24">
        <f>600*((AL3-AM3)/AL3)</f>
        <v>383.2674571805007</v>
      </c>
      <c r="AO3" s="24">
        <f>IF(AN3&gt;AA3,AK3,AK3*AA3/AN3)</f>
        <v>-1250.2322828615986</v>
      </c>
      <c r="AP3" s="24">
        <f>IF(AF3="singly reinforced",X3*C3*(IF(AB3&lt;AC3,AC3,AB3)),AG3+AK3)</f>
        <v>309.11999999999995</v>
      </c>
      <c r="AQ3" s="23">
        <f>ROUNDUP((AP3/(3.1416*W3^2/4)),0)</f>
        <v>3</v>
      </c>
      <c r="AR3" s="23">
        <f>ROUNDUP((IF((IF(AF3="doubly reinforced",AO3/(3.1416*W3^2/4),2))&lt;2,2,(IF(AF3="doubly reinforced",AO3/(3.1416*W3^2/4),2)))),0)</f>
        <v>2</v>
      </c>
      <c r="AS3" s="23">
        <f>ROUNDUP((IF((IF(AF3="doubly reinforced",AO3/(3.1416*W3^2/4),2))&lt;2,2,(IF(AF3="doubly reinforced",AO3/(3.1416*W3^2/4),2)))),0)</f>
        <v>2</v>
      </c>
      <c r="AT3" s="23">
        <f>ROUNDUP((AP3/(3.1416*W3^2/4)),0)</f>
        <v>3</v>
      </c>
      <c r="AU3" s="20">
        <f>'Quick Reference'!B18</f>
        <v>10</v>
      </c>
      <c r="AV3" s="24">
        <f>1/6*SQRT(Z3)*C3*X3/1000</f>
        <v>42.01933193186202</v>
      </c>
      <c r="AW3" s="24">
        <f>T3*(B3/2-X3/1000)</f>
        <v>6.2545203</v>
      </c>
      <c r="AX3" s="24">
        <f>0.85*AV3</f>
        <v>35.716432142082716</v>
      </c>
      <c r="AY3" s="24">
        <f>AW3/0.85</f>
        <v>7.358259176470589</v>
      </c>
      <c r="AZ3" s="24">
        <f>AY3-AV3</f>
        <v>-34.66107275539143</v>
      </c>
      <c r="BA3" s="24">
        <f>2/3*SQRT(Z3)*C3*X3/1000</f>
        <v>168.07732772744808</v>
      </c>
      <c r="BB3" s="24" t="str">
        <f>IF(AZ3&lt;BA3,"Stirrups required","Stirrups not required")</f>
        <v>Stirrups required</v>
      </c>
      <c r="BC3" s="24">
        <f>2*3.1416*AU3^2/4</f>
        <v>157.07999999999998</v>
      </c>
      <c r="BD3" s="24">
        <f>1/3*SQRT(Z3)*C3*X3/1000</f>
        <v>84.03866386372404</v>
      </c>
      <c r="BE3" s="24">
        <f>IF(AW3&gt;AX3,BC3*AA3*X3/AZ3/1000,BC3*3*AA3/C3)</f>
        <v>539.9625</v>
      </c>
      <c r="BF3" s="24">
        <f>IF(AW3&gt;AX3,(MIN(BE3,(IF(AZ3&gt;BD3,MIN(X3/4,300),MIN(X3/2,600))))),MIN(X3/2,600))</f>
        <v>126.5</v>
      </c>
      <c r="BG3" s="23">
        <f>MIN(BE3:BF3)</f>
        <v>126.5</v>
      </c>
    </row>
  </sheetData>
  <sheetProtection/>
  <mergeCells count="38">
    <mergeCell ref="AS1:AT1"/>
    <mergeCell ref="AU1:BG1"/>
    <mergeCell ref="AL1:AL2"/>
    <mergeCell ref="AM1:AM2"/>
    <mergeCell ref="AN1:AN2"/>
    <mergeCell ref="AO1:AO2"/>
    <mergeCell ref="AP1:AP2"/>
    <mergeCell ref="AQ1:AR1"/>
    <mergeCell ref="AJ1:AJ2"/>
    <mergeCell ref="AK1:AK2"/>
    <mergeCell ref="Y1:Y2"/>
    <mergeCell ref="Z1:Z2"/>
    <mergeCell ref="AA1:AA2"/>
    <mergeCell ref="AB1:AB2"/>
    <mergeCell ref="AC1:AC2"/>
    <mergeCell ref="AD1:AD2"/>
    <mergeCell ref="AE1:AF2"/>
    <mergeCell ref="AG1:AG2"/>
    <mergeCell ref="AH1:AH2"/>
    <mergeCell ref="AI1:AI2"/>
    <mergeCell ref="U1:U2"/>
    <mergeCell ref="V1:V2"/>
    <mergeCell ref="W1:W2"/>
    <mergeCell ref="X1:X2"/>
    <mergeCell ref="E1:E2"/>
    <mergeCell ref="F1:F2"/>
    <mergeCell ref="S1:S2"/>
    <mergeCell ref="T1:T2"/>
    <mergeCell ref="G1:G2"/>
    <mergeCell ref="H1:H2"/>
    <mergeCell ref="I1:I2"/>
    <mergeCell ref="J1:N1"/>
    <mergeCell ref="O1:Q1"/>
    <mergeCell ref="R1:R2"/>
    <mergeCell ref="A1:A2"/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1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8" sqref="I18"/>
    </sheetView>
  </sheetViews>
  <sheetFormatPr defaultColWidth="9.140625" defaultRowHeight="15"/>
  <cols>
    <col min="1" max="1" width="33.57421875" style="19" customWidth="1"/>
  </cols>
  <sheetData>
    <row r="1" spans="1:59" ht="15">
      <c r="A1" s="39" t="s">
        <v>61</v>
      </c>
      <c r="B1" s="34" t="s">
        <v>0</v>
      </c>
      <c r="C1" s="34" t="s">
        <v>1</v>
      </c>
      <c r="D1" s="34" t="s">
        <v>2</v>
      </c>
      <c r="E1" s="34" t="s">
        <v>3</v>
      </c>
      <c r="F1" s="34" t="s">
        <v>4</v>
      </c>
      <c r="G1" s="34" t="s">
        <v>5</v>
      </c>
      <c r="H1" s="34" t="s">
        <v>6</v>
      </c>
      <c r="I1" s="34" t="s">
        <v>7</v>
      </c>
      <c r="J1" s="34" t="s">
        <v>8</v>
      </c>
      <c r="K1" s="34"/>
      <c r="L1" s="34"/>
      <c r="M1" s="34"/>
      <c r="N1" s="34"/>
      <c r="O1" s="34" t="s">
        <v>9</v>
      </c>
      <c r="P1" s="34"/>
      <c r="Q1" s="34"/>
      <c r="R1" s="34" t="s">
        <v>10</v>
      </c>
      <c r="S1" s="34" t="s">
        <v>11</v>
      </c>
      <c r="T1" s="34" t="s">
        <v>12</v>
      </c>
      <c r="U1" s="34" t="s">
        <v>13</v>
      </c>
      <c r="V1" s="34" t="s">
        <v>54</v>
      </c>
      <c r="W1" s="34" t="s">
        <v>22</v>
      </c>
      <c r="X1" s="34" t="s">
        <v>33</v>
      </c>
      <c r="Y1" s="34" t="s">
        <v>23</v>
      </c>
      <c r="Z1" s="34" t="s">
        <v>34</v>
      </c>
      <c r="AA1" s="34" t="s">
        <v>24</v>
      </c>
      <c r="AB1" s="34" t="s">
        <v>25</v>
      </c>
      <c r="AC1" s="34" t="s">
        <v>26</v>
      </c>
      <c r="AD1" s="34" t="s">
        <v>27</v>
      </c>
      <c r="AE1" s="35" t="s">
        <v>28</v>
      </c>
      <c r="AF1" s="36"/>
      <c r="AG1" s="32" t="s">
        <v>36</v>
      </c>
      <c r="AH1" s="32" t="s">
        <v>31</v>
      </c>
      <c r="AI1" s="32" t="s">
        <v>37</v>
      </c>
      <c r="AJ1" s="32" t="s">
        <v>38</v>
      </c>
      <c r="AK1" s="32" t="s">
        <v>39</v>
      </c>
      <c r="AL1" s="32" t="s">
        <v>32</v>
      </c>
      <c r="AM1" s="32" t="s">
        <v>40</v>
      </c>
      <c r="AN1" s="32" t="s">
        <v>41</v>
      </c>
      <c r="AO1" s="32" t="s">
        <v>42</v>
      </c>
      <c r="AP1" s="34" t="s">
        <v>29</v>
      </c>
      <c r="AQ1" s="29" t="s">
        <v>55</v>
      </c>
      <c r="AR1" s="31"/>
      <c r="AS1" s="29" t="s">
        <v>56</v>
      </c>
      <c r="AT1" s="30"/>
      <c r="AU1" s="29" t="s">
        <v>57</v>
      </c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0"/>
    </row>
    <row r="2" spans="1:59" ht="45.75" thickBot="1">
      <c r="A2" s="39"/>
      <c r="B2" s="34"/>
      <c r="C2" s="34"/>
      <c r="D2" s="34"/>
      <c r="E2" s="34"/>
      <c r="F2" s="34"/>
      <c r="G2" s="34"/>
      <c r="H2" s="34"/>
      <c r="I2" s="34"/>
      <c r="J2" s="17" t="s">
        <v>14</v>
      </c>
      <c r="K2" s="17" t="s">
        <v>15</v>
      </c>
      <c r="L2" s="17" t="s">
        <v>16</v>
      </c>
      <c r="M2" s="17" t="s">
        <v>17</v>
      </c>
      <c r="N2" s="17" t="s">
        <v>18</v>
      </c>
      <c r="O2" s="17" t="s">
        <v>19</v>
      </c>
      <c r="P2" s="17" t="s">
        <v>20</v>
      </c>
      <c r="Q2" s="17" t="s">
        <v>21</v>
      </c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7"/>
      <c r="AF2" s="38"/>
      <c r="AG2" s="33"/>
      <c r="AH2" s="33"/>
      <c r="AI2" s="33"/>
      <c r="AJ2" s="33"/>
      <c r="AK2" s="33"/>
      <c r="AL2" s="33"/>
      <c r="AM2" s="33"/>
      <c r="AN2" s="33"/>
      <c r="AO2" s="33"/>
      <c r="AP2" s="34"/>
      <c r="AQ2" s="17" t="s">
        <v>58</v>
      </c>
      <c r="AR2" s="17" t="s">
        <v>59</v>
      </c>
      <c r="AS2" s="17" t="s">
        <v>58</v>
      </c>
      <c r="AT2" s="17" t="s">
        <v>59</v>
      </c>
      <c r="AU2" s="2" t="s">
        <v>43</v>
      </c>
      <c r="AV2" s="17" t="s">
        <v>44</v>
      </c>
      <c r="AW2" s="17" t="s">
        <v>45</v>
      </c>
      <c r="AX2" s="17" t="s">
        <v>46</v>
      </c>
      <c r="AY2" s="17" t="s">
        <v>47</v>
      </c>
      <c r="AZ2" s="17" t="s">
        <v>48</v>
      </c>
      <c r="BA2" s="17" t="s">
        <v>49</v>
      </c>
      <c r="BB2" s="17" t="s">
        <v>35</v>
      </c>
      <c r="BC2" s="17" t="s">
        <v>50</v>
      </c>
      <c r="BD2" s="17" t="s">
        <v>51</v>
      </c>
      <c r="BE2" s="17" t="s">
        <v>52</v>
      </c>
      <c r="BF2" s="17" t="s">
        <v>53</v>
      </c>
      <c r="BG2" s="17" t="s">
        <v>60</v>
      </c>
    </row>
    <row r="3" spans="1:59" ht="45.75" thickTop="1">
      <c r="A3" s="18">
        <v>1</v>
      </c>
      <c r="B3" s="9">
        <f>'Quick Reference'!B3</f>
        <v>5.2</v>
      </c>
      <c r="C3" s="16">
        <f>'Quick Reference'!B4</f>
        <v>240</v>
      </c>
      <c r="D3" s="16">
        <f>'Quick Reference'!B5</f>
        <v>300</v>
      </c>
      <c r="E3" s="9">
        <f>'Quick Reference'!B6</f>
        <v>0</v>
      </c>
      <c r="F3" s="9">
        <f>'Quick Reference'!B7</f>
        <v>240</v>
      </c>
      <c r="G3" s="9">
        <f>'Quick Reference'!B8</f>
        <v>3</v>
      </c>
      <c r="H3" s="9">
        <f>'Quick Reference'!B8</f>
        <v>3</v>
      </c>
      <c r="I3" s="9">
        <f>'Quick Reference'!B10</f>
        <v>0</v>
      </c>
      <c r="J3" s="3">
        <f>23.5*C3*D3*B3/1000^2</f>
        <v>8.7984</v>
      </c>
      <c r="K3" s="3">
        <f>23.5*E3*F3/1000</f>
        <v>0</v>
      </c>
      <c r="L3" s="3">
        <f>H3/1000*G3*B3*23.5</f>
        <v>1.0998</v>
      </c>
      <c r="M3" s="3">
        <f>I3*9.81/1000</f>
        <v>0</v>
      </c>
      <c r="N3" s="3">
        <f>SUM(J3:M3)</f>
        <v>9.898200000000001</v>
      </c>
      <c r="O3" s="9">
        <f>'Quick Reference'!B11</f>
        <v>0</v>
      </c>
      <c r="P3" s="3">
        <f>O3*9.81/1000</f>
        <v>0</v>
      </c>
      <c r="Q3" s="3">
        <f>P3*E3</f>
        <v>0</v>
      </c>
      <c r="R3" s="3">
        <f>N3/B3</f>
        <v>1.9035000000000002</v>
      </c>
      <c r="S3" s="3">
        <f>Q3/B3</f>
        <v>0</v>
      </c>
      <c r="T3" s="3">
        <f>1.4*R3+1.7*S3</f>
        <v>2.6649000000000003</v>
      </c>
      <c r="U3" s="3">
        <f>T3*B3^2/8</f>
        <v>9.007362000000002</v>
      </c>
      <c r="V3" s="9">
        <f>'Quick Reference'!B14</f>
        <v>40</v>
      </c>
      <c r="W3" s="9">
        <f>'Quick Reference'!B15</f>
        <v>14</v>
      </c>
      <c r="X3" s="3">
        <f>D3-V3-W3/2</f>
        <v>253</v>
      </c>
      <c r="Y3" s="3">
        <f>U3/(0.9*X3^2*C3)*1000*1000</f>
        <v>0.6514826040088114</v>
      </c>
      <c r="Z3" s="9">
        <f>'Quick Reference'!B16</f>
        <v>17.24</v>
      </c>
      <c r="AA3" s="9">
        <f>'Quick Reference'!B17</f>
        <v>275</v>
      </c>
      <c r="AB3" s="3">
        <f>0.85*Z3/AA3*((1-SQRT(1-(2*Y3/(0.85*Z3)))))</f>
        <v>0.0024241683229754736</v>
      </c>
      <c r="AC3" s="3">
        <f>1.4/AA3</f>
        <v>0.00509090909090909</v>
      </c>
      <c r="AD3" s="3">
        <f>0.85*Z3*0.85*600/(AA3*(600+AA3))*0.75</f>
        <v>0.023294150649350646</v>
      </c>
      <c r="AE3" s="3" t="str">
        <f>IF(AB3&lt;AC3,"use min","use computed steel ratio")</f>
        <v>use min</v>
      </c>
      <c r="AF3" s="3" t="str">
        <f>IF(AB3&gt;AD3,"doubly reinforced","singly reinforced")</f>
        <v>singly reinforced</v>
      </c>
      <c r="AG3" s="3">
        <f>AD3*C3*X3</f>
        <v>1414.4208274285713</v>
      </c>
      <c r="AH3" s="3">
        <f>AG3*AA3/(C3*0.85*Z3)</f>
        <v>110.59714285714286</v>
      </c>
      <c r="AI3" s="3">
        <f>0.9*AG3*AA3*(X3-AH3/2)/1000/1000</f>
        <v>69.20917200049313</v>
      </c>
      <c r="AJ3" s="3">
        <f>U3-AI3</f>
        <v>-60.201810000493126</v>
      </c>
      <c r="AK3" s="3">
        <f>AJ3/(0.85*AA3*(X3-(V3+0.5*W3)))*1000*1000</f>
        <v>-1250.2322828615986</v>
      </c>
      <c r="AL3" s="3">
        <f>AH3/0.85</f>
        <v>130.11428571428573</v>
      </c>
      <c r="AM3" s="3">
        <f>V3+0.5*W3</f>
        <v>47</v>
      </c>
      <c r="AN3" s="3">
        <f>600*((AL3-AM3)/AL3)</f>
        <v>383.2674571805007</v>
      </c>
      <c r="AO3" s="3">
        <f>IF(AN3&gt;AA3,AK3,AK3*AA3/AN3)</f>
        <v>-1250.2322828615986</v>
      </c>
      <c r="AP3" s="3">
        <f>IF(AF3="singly reinforced",X3*C3*(IF(AB3&lt;AC3,AC3,AB3)),AG3+AK3)</f>
        <v>309.11999999999995</v>
      </c>
      <c r="AQ3" s="4">
        <f>ROUNDUP((AP3/(3.1416*W3^2/4)),0)</f>
        <v>3</v>
      </c>
      <c r="AR3" s="4">
        <f>ROUNDUP((IF((IF(AF3="doubly reinforced",AO3/(3.1416*W3^2/4),2))&lt;2,2,(IF(AF3="doubly reinforced",AO3/(3.1416*W3^2/4),2)))),0)</f>
        <v>2</v>
      </c>
      <c r="AS3" s="4">
        <f>ROUNDUP((IF((IF(AF3="doubly reinforced",AO3/(3.1416*W3^2/4),2))&lt;2,2,(IF(AF3="doubly reinforced",AO3/(3.1416*W3^2/4),2)))),0)</f>
        <v>2</v>
      </c>
      <c r="AT3" s="4">
        <f>ROUNDUP((AP3/(3.1416*W3^2/4)),0)</f>
        <v>3</v>
      </c>
      <c r="AU3" s="9">
        <f>'Quick Reference'!B18</f>
        <v>10</v>
      </c>
      <c r="AV3" s="3">
        <f>1/6*SQRT(Z3)*C3*X3/1000</f>
        <v>42.01933193186202</v>
      </c>
      <c r="AW3" s="3">
        <f>T3*(B3/2-X3/1000)</f>
        <v>6.2545203</v>
      </c>
      <c r="AX3" s="3">
        <f>0.85*AV3</f>
        <v>35.716432142082716</v>
      </c>
      <c r="AY3" s="3">
        <f>AW3/0.85</f>
        <v>7.358259176470589</v>
      </c>
      <c r="AZ3" s="3">
        <f>AY3-AV3</f>
        <v>-34.66107275539143</v>
      </c>
      <c r="BA3" s="3">
        <f>2/3*SQRT(Z3)*C3*X3/1000</f>
        <v>168.07732772744808</v>
      </c>
      <c r="BB3" s="3" t="str">
        <f>IF(AZ3&lt;BA3,"Stirrups required","Stirrups not required")</f>
        <v>Stirrups required</v>
      </c>
      <c r="BC3" s="3">
        <f>2*3.1416*AU3^2/4</f>
        <v>157.07999999999998</v>
      </c>
      <c r="BD3" s="3">
        <f>1/3*SQRT(Z3)*C3*X3/1000</f>
        <v>84.03866386372404</v>
      </c>
      <c r="BE3" s="3">
        <f>IF(AW3&gt;AX3,BC3*AA3*X3/AZ3/1000,BC3*3*AA3/C3)</f>
        <v>539.9625</v>
      </c>
      <c r="BF3" s="3">
        <f>IF(AW3&gt;AX3,(MIN(BE3,(IF(AZ3&gt;BD3,MIN(X3/4,300),MIN(X3/2,600))))),MIN(X3/2,600))</f>
        <v>126.5</v>
      </c>
      <c r="BG3" s="4">
        <f>MIN(BE3:BF3)</f>
        <v>126.5</v>
      </c>
    </row>
    <row r="5" ht="15">
      <c r="A5" s="19" t="s">
        <v>90</v>
      </c>
    </row>
    <row r="6" ht="30">
      <c r="A6" s="19" t="s">
        <v>91</v>
      </c>
    </row>
    <row r="7" ht="15">
      <c r="A7" s="19" t="s">
        <v>92</v>
      </c>
    </row>
    <row r="13" ht="15">
      <c r="D13" s="40" t="s">
        <v>93</v>
      </c>
    </row>
  </sheetData>
  <sheetProtection/>
  <mergeCells count="38">
    <mergeCell ref="F1:F2"/>
    <mergeCell ref="A1:A2"/>
    <mergeCell ref="B1:B2"/>
    <mergeCell ref="C1:C2"/>
    <mergeCell ref="D1:D2"/>
    <mergeCell ref="E1:E2"/>
    <mergeCell ref="T1:T2"/>
    <mergeCell ref="U1:U2"/>
    <mergeCell ref="V1:V2"/>
    <mergeCell ref="W1:W2"/>
    <mergeCell ref="AI1:AI2"/>
    <mergeCell ref="AJ1:AJ2"/>
    <mergeCell ref="X1:X2"/>
    <mergeCell ref="G1:G2"/>
    <mergeCell ref="H1:H2"/>
    <mergeCell ref="I1:I2"/>
    <mergeCell ref="J1:N1"/>
    <mergeCell ref="O1:Q1"/>
    <mergeCell ref="R1:R2"/>
    <mergeCell ref="S1:S2"/>
    <mergeCell ref="AK1:AK2"/>
    <mergeCell ref="Y1:Y2"/>
    <mergeCell ref="Z1:Z2"/>
    <mergeCell ref="AA1:AA2"/>
    <mergeCell ref="AB1:AB2"/>
    <mergeCell ref="AC1:AC2"/>
    <mergeCell ref="AD1:AD2"/>
    <mergeCell ref="AE1:AF2"/>
    <mergeCell ref="AG1:AG2"/>
    <mergeCell ref="AH1:AH2"/>
    <mergeCell ref="AS1:AT1"/>
    <mergeCell ref="AU1:BG1"/>
    <mergeCell ref="AL1:AL2"/>
    <mergeCell ref="AM1:AM2"/>
    <mergeCell ref="AN1:AN2"/>
    <mergeCell ref="AO1:AO2"/>
    <mergeCell ref="AP1:AP2"/>
    <mergeCell ref="AQ1:AR1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KJ</cp:lastModifiedBy>
  <cp:lastPrinted>2010-05-19T08:10:38Z</cp:lastPrinted>
  <dcterms:created xsi:type="dcterms:W3CDTF">2010-04-17T02:28:40Z</dcterms:created>
  <dcterms:modified xsi:type="dcterms:W3CDTF">2011-02-11T17:03:55Z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